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1355" windowHeight="5385" activeTab="1"/>
  </bookViews>
  <sheets>
    <sheet name="Wheeling cost" sheetId="17" r:id="rId1"/>
    <sheet name="Corss -Sub - WESCO " sheetId="16" r:id="rId2"/>
  </sheets>
  <externalReferences>
    <externalReference r:id="rId3"/>
    <externalReference r:id="rId4"/>
    <externalReference r:id="rId5"/>
    <externalReference r:id="rId6"/>
  </externalReferences>
  <definedNames>
    <definedName name="__xlfn.BAHTTEXT" hidden="1">#NAME?</definedName>
    <definedName name="a">'[1]A&amp;G Expenses'!#REF!</definedName>
    <definedName name="Admn_and_General_Expenses">'[2]A&amp;G Expenses'!#REF!</definedName>
    <definedName name="Allocation_of_expenses">'[2]Allocation LT HT EHT'!#REF!</definedName>
    <definedName name="Allocation_of_revenues__expenses">'[2]Allocation LT HT EHT'!#REF!</definedName>
    <definedName name="Bad_Debts">#REF!</definedName>
    <definedName name="Capital__Revenue_subsidies_and_Grants">#REF!</definedName>
    <definedName name="Capital_work_in_progress">[2]CWIP!#REF!</definedName>
    <definedName name="Consumption_Details">'[2]Consumption Data '!#REF!</definedName>
    <definedName name="Cost_Parameters">'[2]Verification of inputs'!#REF!</definedName>
    <definedName name="Current_Year_Details">'[2]Current Year'!#REF!</definedName>
    <definedName name="Debtors">#REF!</definedName>
    <definedName name="Demand_data_for_consumers_with_Connected_Load___100_kVA">'[3]Consumer Data &gt;100kVA'!#REF!</definedName>
    <definedName name="Employees_Cost">'[2]Employee Costs'!#REF!</definedName>
    <definedName name="erheri">'[1]Employee Costs'!#REF!</definedName>
    <definedName name="Existing_Tariff_Structure">#REF!</definedName>
    <definedName name="Information_on_Inventory">#REF!</definedName>
    <definedName name="Interest_and_Finance_Charges">#REF!</definedName>
    <definedName name="Loss">#REF!</definedName>
    <definedName name="Loss_Details">'[2]Loss Details'!#REF!</definedName>
    <definedName name="Other_Cost_parameters">'[2]Special Appropriations'!#REF!</definedName>
    <definedName name="Output_Sheet">#REF!</definedName>
    <definedName name="Power_Factor">#REF!</definedName>
    <definedName name="Power_Purchase_Details">'[2]Power Purchase Cost'!#REF!</definedName>
    <definedName name="Previous_Year_revenue_details">'[2]Revenue-Current and Past Year'!#REF!</definedName>
    <definedName name="_xlnm.Print_Area" localSheetId="1">'Corss -Sub - WESCO '!$A$1:$H$13</definedName>
    <definedName name="_xlnm.Print_Area" localSheetId="0">'Wheeling cost'!$A$1:$G$33</definedName>
    <definedName name="Reasonable_Rate_of_Return_on_Equity">[2]RoE!#REF!</definedName>
    <definedName name="Repair_and_Maintenance">'[2]R&amp;M'!#REF!</definedName>
    <definedName name="Sources_of_revenues__other_than_sale_of_energy">'[2]Other revenue sources'!#REF!</definedName>
    <definedName name="Statement_of_Fixed_Assets_and_Depreciation">'[2]Depreciation Schedule'!#REF!</definedName>
    <definedName name="Tariff">#REF!</definedName>
    <definedName name="TarrGrowth">#REF!</definedName>
    <definedName name="wqe">'[1]Other revenue sources'!#REF!</definedName>
    <definedName name="xx">#REF!</definedName>
    <definedName name="xyz">'[4]Consumer Data &gt;100kVA'!#REF!</definedName>
  </definedNames>
  <calcPr calcId="124519"/>
</workbook>
</file>

<file path=xl/calcChain.xml><?xml version="1.0" encoding="utf-8"?>
<calcChain xmlns="http://schemas.openxmlformats.org/spreadsheetml/2006/main">
  <c r="B13" i="16"/>
  <c r="D13"/>
  <c r="B8"/>
  <c r="D8"/>
  <c r="F5" i="17"/>
  <c r="F4"/>
  <c r="C13" i="16" l="1"/>
  <c r="C8"/>
  <c r="G4" i="17" l="1"/>
  <c r="F22"/>
  <c r="G22" s="1"/>
  <c r="F21"/>
  <c r="G21"/>
  <c r="F20"/>
  <c r="F18"/>
  <c r="F17"/>
  <c r="F16"/>
  <c r="G16" s="1"/>
  <c r="F15"/>
  <c r="F13"/>
  <c r="G13" s="1"/>
  <c r="F12"/>
  <c r="F11"/>
  <c r="G11" s="1"/>
  <c r="F10"/>
  <c r="G10" s="1"/>
  <c r="F9"/>
  <c r="G9" s="1"/>
  <c r="F6"/>
  <c r="G6" s="1"/>
  <c r="C31"/>
  <c r="F30"/>
  <c r="G18"/>
  <c r="C7"/>
  <c r="C23" s="1"/>
  <c r="G12"/>
  <c r="G15"/>
  <c r="G17"/>
  <c r="G20"/>
  <c r="H8" i="16" l="1"/>
  <c r="C32" i="17"/>
  <c r="D32"/>
  <c r="D31" s="1"/>
  <c r="E31" s="1"/>
  <c r="D33"/>
  <c r="F7"/>
  <c r="F23" s="1"/>
  <c r="G5"/>
  <c r="G7" s="1"/>
  <c r="G23" s="1"/>
  <c r="E33" l="1"/>
  <c r="E32"/>
  <c r="F27"/>
  <c r="E13" i="16" s="1"/>
  <c r="H13" s="1"/>
  <c r="F31" i="17" l="1"/>
  <c r="F32" s="1"/>
</calcChain>
</file>

<file path=xl/sharedStrings.xml><?xml version="1.0" encoding="utf-8"?>
<sst xmlns="http://schemas.openxmlformats.org/spreadsheetml/2006/main" count="68" uniqueCount="58">
  <si>
    <t>HT</t>
  </si>
  <si>
    <t>LT</t>
  </si>
  <si>
    <t>Total</t>
  </si>
  <si>
    <t>Depreciation</t>
  </si>
  <si>
    <t>Return on Equity</t>
  </si>
  <si>
    <t>EHT</t>
  </si>
  <si>
    <t>Loss (MU)</t>
  </si>
  <si>
    <t>Input received in the system(MU)</t>
  </si>
  <si>
    <t>Annexure-B</t>
  </si>
  <si>
    <t>Calcualtion of Surcharge for HT category of Consumers</t>
  </si>
  <si>
    <t>Calcualtion of Surcharge for EHT category of Consumers</t>
  </si>
  <si>
    <t>Annexure-A</t>
  </si>
  <si>
    <t>Average Tariff  (P/KWH) (T)</t>
  </si>
  <si>
    <t>Cost of power Purchase (P/KWH) (C )</t>
  </si>
  <si>
    <t>Wheeling Charge (P/KWH)( D)</t>
  </si>
  <si>
    <t>System Loss (%) ( L)</t>
  </si>
  <si>
    <t xml:space="preserve">Proposed ARR for EHT Catogory Rs in Crore </t>
  </si>
  <si>
    <t xml:space="preserve">Proposed ARR for HT Catogory Rs in Crore </t>
  </si>
  <si>
    <t>WESCO Utility</t>
  </si>
  <si>
    <t>Allocation of wheeling cost and Retail supply cost</t>
  </si>
  <si>
    <t>Rs. Lacs</t>
  </si>
  <si>
    <t>Sl No.</t>
  </si>
  <si>
    <t>Cost/Income Component</t>
  </si>
  <si>
    <t>Assumption Ratio for consideration in Wheeling Business</t>
  </si>
  <si>
    <t>Assumption Ratio for consideration in Retail Supply Business</t>
  </si>
  <si>
    <t>Cost of Power</t>
  </si>
  <si>
    <t>Transmission Charges</t>
  </si>
  <si>
    <t>SLDC Charges</t>
  </si>
  <si>
    <t>Total power purchase cost *</t>
  </si>
  <si>
    <t>O&amp;M</t>
  </si>
  <si>
    <t>Employee Cost</t>
  </si>
  <si>
    <t>Repair &amp; Maintenance Cost</t>
  </si>
  <si>
    <t>Administrative &amp; General Expenses</t>
  </si>
  <si>
    <t>Bad &amp; Doubtful Debt including Rebate</t>
  </si>
  <si>
    <t>Interest on Loans</t>
  </si>
  <si>
    <t>for Capital loan</t>
  </si>
  <si>
    <t>for Working capital</t>
  </si>
  <si>
    <t>Interest on Security Deposits</t>
  </si>
  <si>
    <t>Special Appropriation</t>
  </si>
  <si>
    <t>Amortization of Regulator Assets</t>
  </si>
  <si>
    <t>True Up of Current year GAP 1/3rd</t>
  </si>
  <si>
    <t>Other, if any-Contigency Reserve</t>
  </si>
  <si>
    <t>Grand Total</t>
  </si>
  <si>
    <t>Miscellaneous Receipt</t>
  </si>
  <si>
    <t>Non-Tariff Income - Wheeling</t>
  </si>
  <si>
    <t>as per actual assumption</t>
  </si>
  <si>
    <t>Non-Tariff Income - Retail Business</t>
  </si>
  <si>
    <t>*Allocation of power purchase cost towards wheeling has been made considering 8% loss on input after effecting EHT sale</t>
  </si>
  <si>
    <t>Wheeling cost per kwh</t>
  </si>
  <si>
    <t>Surcharge (P/KWH)             ( T - ( C/ (1-L/100)+D+R))</t>
  </si>
  <si>
    <t>Regulatory Asset (P/KWH)</t>
  </si>
  <si>
    <t>ARR for FY 2021-22</t>
  </si>
  <si>
    <t>Wheeling cost for FY 2021-22</t>
  </si>
  <si>
    <t>Retail supply Cost for FY 21-22</t>
  </si>
  <si>
    <t>Total Sale (MU)-proposed for 21-22</t>
  </si>
  <si>
    <t>Input (MU)-Proposed for 21-22</t>
  </si>
  <si>
    <t xml:space="preserve">Total EHT Sales proposed for FY 2021-22 in MU </t>
  </si>
  <si>
    <t xml:space="preserve">Total HT Sales proposed for FY 2021-22 in MU </t>
  </si>
</sst>
</file>

<file path=xl/styles.xml><?xml version="1.0" encoding="utf-8"?>
<styleSheet xmlns="http://schemas.openxmlformats.org/spreadsheetml/2006/main">
  <numFmts count="14">
    <numFmt numFmtId="164" formatCode="_(* #,##0_);_(* \(#,##0\);_(* &quot;-&quot;_);_(@_)"/>
    <numFmt numFmtId="165" formatCode="_(* #,##0.00_);_(* \(#,##0.00\);_(* &quot;-&quot;??_);_(@_)"/>
    <numFmt numFmtId="166" formatCode="mmm\.yy"/>
    <numFmt numFmtId="167" formatCode="General_)"/>
    <numFmt numFmtId="168" formatCode="0.000"/>
    <numFmt numFmtId="169" formatCode="d\.m\.yy\ h:mm"/>
    <numFmt numFmtId="170" formatCode="0&quot;  &quot;"/>
    <numFmt numFmtId="171" formatCode="0.00&quot;  &quot;"/>
    <numFmt numFmtId="172" formatCode="d\.mmm\.yy"/>
    <numFmt numFmtId="173" formatCode="#,##0.000_);[Red]\(#,##0.000\)"/>
    <numFmt numFmtId="174" formatCode="#,##0.0_);[Red]\(#,##0.0\)"/>
    <numFmt numFmtId="175" formatCode="_-* #,##0.000_-;\-* #,##0.000_-;_-* &quot;-&quot;??_-;_-@_-"/>
    <numFmt numFmtId="176" formatCode="yyyymmdd"/>
    <numFmt numFmtId="177" formatCode="mmddyyyy"/>
  </numFmts>
  <fonts count="2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Tms Rmn"/>
    </font>
    <font>
      <sz val="11"/>
      <name val="Univers Condensed"/>
      <family val="2"/>
    </font>
    <font>
      <sz val="9"/>
      <name val="Times New Roman"/>
      <family val="1"/>
    </font>
    <font>
      <sz val="10"/>
      <name val="Helv"/>
    </font>
    <font>
      <sz val="11"/>
      <name val="Book Antiqua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7"/>
      <name val="Small Fonts"/>
      <family val="2"/>
    </font>
    <font>
      <sz val="10"/>
      <color indexed="8"/>
      <name val="Tahoma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/>
    <xf numFmtId="0" fontId="8" fillId="0" borderId="0" applyNumberFormat="0" applyFill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8" fontId="10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0" fontId="11" fillId="0" borderId="1"/>
    <xf numFmtId="166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1"/>
    <xf numFmtId="167" fontId="10" fillId="0" borderId="0" applyFont="0" applyFill="0" applyBorder="0" applyAlignment="0" applyProtection="0"/>
    <xf numFmtId="15" fontId="12" fillId="0" borderId="0" applyFont="0" applyFill="0" applyBorder="0" applyAlignment="0"/>
    <xf numFmtId="14" fontId="13" fillId="0" borderId="0" applyFill="0" applyBorder="0" applyAlignment="0"/>
    <xf numFmtId="38" fontId="14" fillId="0" borderId="2">
      <alignment vertical="center"/>
    </xf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8" fontId="15" fillId="2" borderId="0" applyNumberFormat="0" applyBorder="0" applyAlignment="0" applyProtection="0"/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10" fontId="15" fillId="3" borderId="5" applyNumberFormat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7" fontId="16" fillId="0" borderId="0"/>
    <xf numFmtId="172" fontId="2" fillId="0" borderId="0"/>
    <xf numFmtId="0" fontId="17" fillId="0" borderId="0"/>
    <xf numFmtId="0" fontId="4" fillId="0" borderId="0"/>
    <xf numFmtId="0" fontId="4" fillId="0" borderId="0"/>
    <xf numFmtId="0" fontId="18" fillId="4" borderId="0"/>
    <xf numFmtId="0" fontId="18" fillId="4" borderId="0"/>
    <xf numFmtId="0" fontId="19" fillId="4" borderId="0"/>
    <xf numFmtId="0" fontId="19" fillId="4" borderId="0"/>
    <xf numFmtId="0" fontId="2" fillId="0" borderId="0"/>
    <xf numFmtId="9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" fillId="0" borderId="0" applyFill="0" applyBorder="0" applyAlignment="0"/>
    <xf numFmtId="167" fontId="10" fillId="0" borderId="0" applyFill="0" applyBorder="0" applyAlignment="0"/>
    <xf numFmtId="174" fontId="2" fillId="0" borderId="0" applyFill="0" applyBorder="0" applyAlignment="0"/>
    <xf numFmtId="175" fontId="2" fillId="0" borderId="0" applyFill="0" applyBorder="0" applyAlignment="0"/>
    <xf numFmtId="167" fontId="10" fillId="0" borderId="0" applyFill="0" applyBorder="0" applyAlignment="0"/>
    <xf numFmtId="49" fontId="13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</cellStyleXfs>
  <cellXfs count="40">
    <xf numFmtId="0" fontId="0" fillId="0" borderId="0" xfId="0"/>
    <xf numFmtId="0" fontId="3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1" fontId="0" fillId="0" borderId="0" xfId="0" applyNumberFormat="1"/>
    <xf numFmtId="1" fontId="2" fillId="0" borderId="0" xfId="46" applyNumberFormat="1"/>
    <xf numFmtId="1" fontId="5" fillId="0" borderId="0" xfId="0" applyNumberFormat="1" applyFont="1"/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top" wrapText="1" shrinkToFit="1"/>
    </xf>
    <xf numFmtId="1" fontId="0" fillId="0" borderId="0" xfId="0" applyNumberFormat="1" applyAlignment="1">
      <alignment vertical="top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5" xfId="0" applyFont="1" applyBorder="1" applyAlignment="1">
      <alignment horizontal="center" vertical="top" wrapText="1"/>
    </xf>
    <xf numFmtId="2" fontId="22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1" fontId="22" fillId="0" borderId="5" xfId="0" applyNumberFormat="1" applyFont="1" applyBorder="1" applyAlignment="1">
      <alignment horizontal="center" vertical="top"/>
    </xf>
    <xf numFmtId="1" fontId="6" fillId="0" borderId="5" xfId="0" applyNumberFormat="1" applyFont="1" applyBorder="1" applyAlignment="1">
      <alignment vertical="top"/>
    </xf>
    <xf numFmtId="0" fontId="21" fillId="0" borderId="0" xfId="0" applyFont="1"/>
    <xf numFmtId="0" fontId="21" fillId="0" borderId="5" xfId="0" applyFont="1" applyBorder="1" applyAlignment="1">
      <alignment vertical="top" wrapText="1"/>
    </xf>
    <xf numFmtId="0" fontId="21" fillId="0" borderId="5" xfId="0" applyFont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0" fillId="0" borderId="5" xfId="0" applyBorder="1"/>
    <xf numFmtId="2" fontId="0" fillId="0" borderId="5" xfId="0" applyNumberFormat="1" applyBorder="1"/>
    <xf numFmtId="9" fontId="0" fillId="0" borderId="5" xfId="46" applyFont="1" applyBorder="1" applyAlignment="1">
      <alignment horizontal="center"/>
    </xf>
    <xf numFmtId="0" fontId="3" fillId="0" borderId="5" xfId="45" applyNumberFormat="1" applyFont="1" applyFill="1" applyBorder="1" applyAlignment="1" applyProtection="1">
      <alignment horizontal="right" wrapText="1"/>
      <protection locked="0"/>
    </xf>
    <xf numFmtId="2" fontId="3" fillId="0" borderId="5" xfId="0" applyNumberFormat="1" applyFont="1" applyBorder="1"/>
    <xf numFmtId="0" fontId="21" fillId="0" borderId="5" xfId="0" applyFont="1" applyBorder="1"/>
    <xf numFmtId="2" fontId="21" fillId="0" borderId="5" xfId="0" applyNumberFormat="1" applyFont="1" applyBorder="1"/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right"/>
    </xf>
    <xf numFmtId="0" fontId="20" fillId="0" borderId="5" xfId="0" applyFont="1" applyBorder="1" applyAlignment="1">
      <alignment horizontal="center" vertical="top" wrapText="1"/>
    </xf>
    <xf numFmtId="0" fontId="0" fillId="0" borderId="6" xfId="0" applyFont="1" applyFill="1" applyBorder="1"/>
    <xf numFmtId="1" fontId="6" fillId="0" borderId="5" xfId="0" applyNumberFormat="1" applyFont="1" applyBorder="1" applyAlignment="1"/>
    <xf numFmtId="0" fontId="3" fillId="0" borderId="5" xfId="0" applyFont="1" applyFill="1" applyBorder="1"/>
    <xf numFmtId="1" fontId="3" fillId="0" borderId="0" xfId="0" applyNumberFormat="1" applyFont="1" applyAlignment="1">
      <alignment vertical="top"/>
    </xf>
    <xf numFmtId="2" fontId="22" fillId="0" borderId="5" xfId="0" applyNumberFormat="1" applyFont="1" applyFill="1" applyBorder="1" applyAlignment="1">
      <alignment horizontal="center" vertical="top"/>
    </xf>
    <xf numFmtId="0" fontId="2" fillId="0" borderId="0" xfId="0" applyFont="1"/>
  </cellXfs>
  <cellStyles count="64">
    <cellStyle name="Body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 - Style1" xfId="10"/>
    <cellStyle name="Comma [00]" xfId="11"/>
    <cellStyle name="Comma 2" xfId="12"/>
    <cellStyle name="Comma 3" xfId="13"/>
    <cellStyle name="Comma 4" xfId="14"/>
    <cellStyle name="Comma 8" xfId="15"/>
    <cellStyle name="Comma 9" xfId="16"/>
    <cellStyle name="Curren - Style2" xfId="17"/>
    <cellStyle name="Currency [00]" xfId="18"/>
    <cellStyle name="date" xfId="19"/>
    <cellStyle name="Date Short" xfId="20"/>
    <cellStyle name="DELTA" xfId="21"/>
    <cellStyle name="Enter Currency (0)" xfId="22"/>
    <cellStyle name="Enter Currency (2)" xfId="23"/>
    <cellStyle name="Enter Units (0)" xfId="24"/>
    <cellStyle name="Enter Units (1)" xfId="25"/>
    <cellStyle name="Enter Units (2)" xfId="26"/>
    <cellStyle name="Grey" xfId="27"/>
    <cellStyle name="Header1" xfId="28"/>
    <cellStyle name="Header2" xfId="29"/>
    <cellStyle name="Input [yellow]" xfId="30"/>
    <cellStyle name="Link Currency (0)" xfId="31"/>
    <cellStyle name="Link Currency (2)" xfId="32"/>
    <cellStyle name="Link Units (0)" xfId="33"/>
    <cellStyle name="Link Units (1)" xfId="34"/>
    <cellStyle name="Link Units (2)" xfId="35"/>
    <cellStyle name="no dec" xfId="36"/>
    <cellStyle name="Normal" xfId="0" builtinId="0"/>
    <cellStyle name="Normal - Style1" xfId="37"/>
    <cellStyle name="Normal 2" xfId="38"/>
    <cellStyle name="Normal 2 2" xfId="39"/>
    <cellStyle name="Normal 3" xfId="40"/>
    <cellStyle name="Normal 4" xfId="41"/>
    <cellStyle name="Normal 4 2" xfId="42"/>
    <cellStyle name="Normal 4 3" xfId="43"/>
    <cellStyle name="Normal 5" xfId="44"/>
    <cellStyle name="Normal_SOUTHCO___ARR_2005-06" xfId="45"/>
    <cellStyle name="Percent" xfId="46" builtinId="5"/>
    <cellStyle name="Percent [0]" xfId="47"/>
    <cellStyle name="Percent [00]" xfId="48"/>
    <cellStyle name="Percent [2]" xfId="49"/>
    <cellStyle name="Percent 2" xfId="50"/>
    <cellStyle name="Percent 2 2" xfId="51"/>
    <cellStyle name="Percent 3" xfId="52"/>
    <cellStyle name="Percent 4" xfId="53"/>
    <cellStyle name="Percent 5" xfId="54"/>
    <cellStyle name="Percent 6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SOUTH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SOUTH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Consumer%20Analysis%20working%20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Consumer%20Analysis%20working%20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opLeftCell="A13" workbookViewId="0">
      <selection activeCell="B32" sqref="B32"/>
    </sheetView>
  </sheetViews>
  <sheetFormatPr defaultRowHeight="12.75"/>
  <cols>
    <col min="1" max="1" width="6.140625" customWidth="1"/>
    <col min="2" max="2" width="32.42578125" customWidth="1"/>
    <col min="3" max="3" width="11.140625" customWidth="1"/>
    <col min="4" max="4" width="15.42578125" customWidth="1"/>
    <col min="5" max="5" width="15.7109375" customWidth="1"/>
    <col min="6" max="6" width="13.85546875" bestFit="1" customWidth="1"/>
    <col min="7" max="7" width="12.85546875" bestFit="1" customWidth="1"/>
  </cols>
  <sheetData>
    <row r="1" spans="1:7" ht="15">
      <c r="A1" s="20" t="s">
        <v>18</v>
      </c>
      <c r="F1" s="1" t="s">
        <v>11</v>
      </c>
    </row>
    <row r="2" spans="1:7" ht="15.75">
      <c r="A2" s="12" t="s">
        <v>19</v>
      </c>
      <c r="F2" s="1" t="s">
        <v>20</v>
      </c>
    </row>
    <row r="3" spans="1:7" ht="75">
      <c r="A3" s="21" t="s">
        <v>21</v>
      </c>
      <c r="B3" s="21" t="s">
        <v>22</v>
      </c>
      <c r="C3" s="22" t="s">
        <v>51</v>
      </c>
      <c r="D3" s="22" t="s">
        <v>23</v>
      </c>
      <c r="E3" s="22" t="s">
        <v>24</v>
      </c>
      <c r="F3" s="23" t="s">
        <v>52</v>
      </c>
      <c r="G3" s="23" t="s">
        <v>53</v>
      </c>
    </row>
    <row r="4" spans="1:7">
      <c r="A4" s="24">
        <v>1</v>
      </c>
      <c r="B4" s="24" t="s">
        <v>25</v>
      </c>
      <c r="C4" s="25">
        <v>266025.59000000003</v>
      </c>
      <c r="D4" s="26">
        <v>0</v>
      </c>
      <c r="E4" s="26">
        <v>1</v>
      </c>
      <c r="F4" s="25">
        <f>(8250-1360)*8%*322.6/10</f>
        <v>17781.712000000003</v>
      </c>
      <c r="G4" s="25">
        <f>C4-F4</f>
        <v>248243.87800000003</v>
      </c>
    </row>
    <row r="5" spans="1:7">
      <c r="A5" s="24">
        <v>2</v>
      </c>
      <c r="B5" s="24" t="s">
        <v>26</v>
      </c>
      <c r="C5" s="25">
        <v>20612.5</v>
      </c>
      <c r="D5" s="26">
        <v>0</v>
      </c>
      <c r="E5" s="26">
        <v>1</v>
      </c>
      <c r="F5" s="25">
        <f>(8250-1360)*8%*25/10</f>
        <v>1378.0000000000002</v>
      </c>
      <c r="G5" s="25">
        <f>C5-F5</f>
        <v>19234.5</v>
      </c>
    </row>
    <row r="6" spans="1:7">
      <c r="A6" s="24">
        <v>3</v>
      </c>
      <c r="B6" s="24" t="s">
        <v>27</v>
      </c>
      <c r="C6" s="25">
        <v>121.944</v>
      </c>
      <c r="D6" s="26">
        <v>0</v>
      </c>
      <c r="E6" s="26">
        <v>1</v>
      </c>
      <c r="F6" s="25">
        <f>C6</f>
        <v>121.944</v>
      </c>
      <c r="G6" s="25">
        <f>C6-F6</f>
        <v>0</v>
      </c>
    </row>
    <row r="7" spans="1:7">
      <c r="A7" s="24"/>
      <c r="B7" s="27" t="s">
        <v>28</v>
      </c>
      <c r="C7" s="28">
        <f>SUM(C4:C6)</f>
        <v>286760.03400000004</v>
      </c>
      <c r="D7" s="26"/>
      <c r="E7" s="26"/>
      <c r="F7" s="28">
        <f>SUM(F4:F6)</f>
        <v>19281.656000000003</v>
      </c>
      <c r="G7" s="28">
        <f>SUM(G4:G6)</f>
        <v>267478.37800000003</v>
      </c>
    </row>
    <row r="8" spans="1:7" ht="15">
      <c r="A8" s="24"/>
      <c r="B8" s="29" t="s">
        <v>29</v>
      </c>
      <c r="C8" s="30"/>
      <c r="D8" s="31"/>
      <c r="E8" s="31"/>
      <c r="F8" s="25"/>
      <c r="G8" s="25"/>
    </row>
    <row r="9" spans="1:7">
      <c r="A9" s="24">
        <v>4</v>
      </c>
      <c r="B9" s="24" t="s">
        <v>30</v>
      </c>
      <c r="C9" s="25">
        <v>52385.526273781412</v>
      </c>
      <c r="D9" s="26">
        <v>0.6</v>
      </c>
      <c r="E9" s="26">
        <v>0.4</v>
      </c>
      <c r="F9" s="25">
        <f>C9*D9</f>
        <v>31431.315764268846</v>
      </c>
      <c r="G9" s="25">
        <f>C9-F9</f>
        <v>20954.210509512566</v>
      </c>
    </row>
    <row r="10" spans="1:7">
      <c r="A10" s="24">
        <v>5</v>
      </c>
      <c r="B10" s="24" t="s">
        <v>31</v>
      </c>
      <c r="C10" s="25">
        <v>10953.098224358404</v>
      </c>
      <c r="D10" s="26">
        <v>0.9</v>
      </c>
      <c r="E10" s="26">
        <v>0.1</v>
      </c>
      <c r="F10" s="25">
        <f t="shared" ref="F10:F22" si="0">C10*D10</f>
        <v>9857.7884019225639</v>
      </c>
      <c r="G10" s="25">
        <f t="shared" ref="G10:G22" si="1">C10-F10</f>
        <v>1095.30982243584</v>
      </c>
    </row>
    <row r="11" spans="1:7">
      <c r="A11" s="24">
        <v>6</v>
      </c>
      <c r="B11" s="24" t="s">
        <v>32</v>
      </c>
      <c r="C11" s="25">
        <v>8338.2574145435847</v>
      </c>
      <c r="D11" s="26">
        <v>0.4</v>
      </c>
      <c r="E11" s="26">
        <v>0.6</v>
      </c>
      <c r="F11" s="25">
        <f t="shared" si="0"/>
        <v>3335.3029658174341</v>
      </c>
      <c r="G11" s="25">
        <f t="shared" si="1"/>
        <v>5002.9544487261501</v>
      </c>
    </row>
    <row r="12" spans="1:7">
      <c r="A12" s="24">
        <v>7</v>
      </c>
      <c r="B12" s="24" t="s">
        <v>33</v>
      </c>
      <c r="C12" s="25">
        <v>9062.1576511963849</v>
      </c>
      <c r="D12" s="26">
        <v>0</v>
      </c>
      <c r="E12" s="26">
        <v>1</v>
      </c>
      <c r="F12" s="25">
        <f t="shared" si="0"/>
        <v>0</v>
      </c>
      <c r="G12" s="25">
        <f t="shared" si="1"/>
        <v>9062.1576511963849</v>
      </c>
    </row>
    <row r="13" spans="1:7">
      <c r="A13" s="24">
        <v>8</v>
      </c>
      <c r="B13" s="24" t="s">
        <v>3</v>
      </c>
      <c r="C13" s="25">
        <v>7288.63439793</v>
      </c>
      <c r="D13" s="26">
        <v>0.9</v>
      </c>
      <c r="E13" s="26">
        <v>0.1</v>
      </c>
      <c r="F13" s="25">
        <f t="shared" si="0"/>
        <v>6559.770958137</v>
      </c>
      <c r="G13" s="25">
        <f t="shared" si="1"/>
        <v>728.863439793</v>
      </c>
    </row>
    <row r="14" spans="1:7" ht="15">
      <c r="A14" s="24"/>
      <c r="B14" s="29" t="s">
        <v>34</v>
      </c>
      <c r="C14" s="30"/>
      <c r="D14" s="31"/>
      <c r="E14" s="31"/>
      <c r="F14" s="25"/>
      <c r="G14" s="25"/>
    </row>
    <row r="15" spans="1:7">
      <c r="A15" s="24">
        <v>9</v>
      </c>
      <c r="B15" s="24" t="s">
        <v>35</v>
      </c>
      <c r="C15" s="25">
        <v>1479.7977243000005</v>
      </c>
      <c r="D15" s="26">
        <v>0.9</v>
      </c>
      <c r="E15" s="26">
        <v>0.1</v>
      </c>
      <c r="F15" s="25">
        <f t="shared" si="0"/>
        <v>1331.8179518700006</v>
      </c>
      <c r="G15" s="25">
        <f t="shared" si="1"/>
        <v>147.97977242999991</v>
      </c>
    </row>
    <row r="16" spans="1:7">
      <c r="A16" s="24">
        <v>10</v>
      </c>
      <c r="B16" s="24" t="s">
        <v>36</v>
      </c>
      <c r="C16" s="25">
        <v>2519.3725000000004</v>
      </c>
      <c r="D16" s="26">
        <v>0.1</v>
      </c>
      <c r="E16" s="26">
        <v>0.9</v>
      </c>
      <c r="F16" s="25">
        <f t="shared" si="0"/>
        <v>251.93725000000006</v>
      </c>
      <c r="G16" s="25">
        <f t="shared" si="1"/>
        <v>2267.4352500000005</v>
      </c>
    </row>
    <row r="17" spans="1:7">
      <c r="A17" s="24">
        <v>11</v>
      </c>
      <c r="B17" s="24" t="s">
        <v>37</v>
      </c>
      <c r="C17" s="25">
        <v>4420.6663842000007</v>
      </c>
      <c r="D17" s="26">
        <v>0</v>
      </c>
      <c r="E17" s="26">
        <v>1</v>
      </c>
      <c r="F17" s="25">
        <f t="shared" si="0"/>
        <v>0</v>
      </c>
      <c r="G17" s="25">
        <f t="shared" si="1"/>
        <v>4420.6663842000007</v>
      </c>
    </row>
    <row r="18" spans="1:7">
      <c r="A18" s="24">
        <v>12</v>
      </c>
      <c r="B18" s="24" t="s">
        <v>4</v>
      </c>
      <c r="C18" s="25">
        <v>778</v>
      </c>
      <c r="D18" s="26">
        <v>0.9</v>
      </c>
      <c r="E18" s="26">
        <v>0.1</v>
      </c>
      <c r="F18" s="25">
        <f t="shared" si="0"/>
        <v>700.2</v>
      </c>
      <c r="G18" s="25">
        <f t="shared" si="1"/>
        <v>77.799999999999955</v>
      </c>
    </row>
    <row r="19" spans="1:7" ht="15">
      <c r="A19" s="24"/>
      <c r="B19" s="29" t="s">
        <v>38</v>
      </c>
      <c r="C19" s="30"/>
      <c r="D19" s="31"/>
      <c r="E19" s="31"/>
      <c r="F19" s="25"/>
      <c r="G19" s="25"/>
    </row>
    <row r="20" spans="1:7">
      <c r="A20" s="24">
        <v>13</v>
      </c>
      <c r="B20" s="24" t="s">
        <v>39</v>
      </c>
      <c r="C20" s="25">
        <v>0</v>
      </c>
      <c r="D20" s="26">
        <v>0.25</v>
      </c>
      <c r="E20" s="26">
        <v>0.75</v>
      </c>
      <c r="F20" s="25">
        <f t="shared" si="0"/>
        <v>0</v>
      </c>
      <c r="G20" s="25">
        <f t="shared" si="1"/>
        <v>0</v>
      </c>
    </row>
    <row r="21" spans="1:7">
      <c r="A21" s="24">
        <v>14</v>
      </c>
      <c r="B21" s="24" t="s">
        <v>40</v>
      </c>
      <c r="C21" s="25">
        <v>0</v>
      </c>
      <c r="D21" s="26">
        <v>0.25</v>
      </c>
      <c r="E21" s="26">
        <v>0.75</v>
      </c>
      <c r="F21" s="25">
        <f t="shared" si="0"/>
        <v>0</v>
      </c>
      <c r="G21" s="25">
        <f t="shared" si="1"/>
        <v>0</v>
      </c>
    </row>
    <row r="22" spans="1:7">
      <c r="A22" s="24">
        <v>15</v>
      </c>
      <c r="B22" s="24" t="s">
        <v>41</v>
      </c>
      <c r="C22" s="25">
        <v>760.63182113600021</v>
      </c>
      <c r="D22" s="26">
        <v>0.9</v>
      </c>
      <c r="E22" s="26">
        <v>0.1</v>
      </c>
      <c r="F22" s="25">
        <f t="shared" si="0"/>
        <v>684.56863902240025</v>
      </c>
      <c r="G22" s="25">
        <f t="shared" si="1"/>
        <v>76.063182113599964</v>
      </c>
    </row>
    <row r="23" spans="1:7">
      <c r="A23" s="24"/>
      <c r="B23" s="32" t="s">
        <v>42</v>
      </c>
      <c r="C23" s="28">
        <f>SUM(C7:C22)</f>
        <v>384746.17639144586</v>
      </c>
      <c r="D23" s="26"/>
      <c r="E23" s="26"/>
      <c r="F23" s="28">
        <f>SUM(F7:F22)</f>
        <v>73434.357931038248</v>
      </c>
      <c r="G23" s="28">
        <f>SUM(G7:G22)</f>
        <v>311311.81846040749</v>
      </c>
    </row>
    <row r="24" spans="1:7" ht="15">
      <c r="A24" s="24"/>
      <c r="B24" s="29" t="s">
        <v>43</v>
      </c>
      <c r="C24" s="30"/>
      <c r="D24" s="31"/>
      <c r="E24" s="31"/>
      <c r="F24" s="24"/>
      <c r="G24" s="24"/>
    </row>
    <row r="25" spans="1:7" ht="30">
      <c r="A25" s="24">
        <v>16</v>
      </c>
      <c r="B25" s="24" t="s">
        <v>44</v>
      </c>
      <c r="C25" s="25"/>
      <c r="D25" s="33" t="s">
        <v>45</v>
      </c>
      <c r="E25" s="33" t="s">
        <v>45</v>
      </c>
      <c r="F25" s="24"/>
      <c r="G25" s="24"/>
    </row>
    <row r="26" spans="1:7" ht="30">
      <c r="A26" s="24">
        <v>17</v>
      </c>
      <c r="B26" s="24" t="s">
        <v>46</v>
      </c>
      <c r="C26" s="25">
        <v>19224.873658215165</v>
      </c>
      <c r="D26" s="33" t="s">
        <v>45</v>
      </c>
      <c r="E26" s="33" t="s">
        <v>45</v>
      </c>
      <c r="F26" s="24"/>
      <c r="G26" s="24"/>
    </row>
    <row r="27" spans="1:7" ht="15.75">
      <c r="A27" s="24"/>
      <c r="B27" s="36" t="s">
        <v>48</v>
      </c>
      <c r="C27" s="25"/>
      <c r="D27" s="33"/>
      <c r="E27" s="33"/>
      <c r="F27" s="35">
        <f>F23/D33*10</f>
        <v>106.58107101747206</v>
      </c>
      <c r="G27" s="24"/>
    </row>
    <row r="28" spans="1:7">
      <c r="A28" s="34" t="s">
        <v>47</v>
      </c>
    </row>
    <row r="29" spans="1:7">
      <c r="C29" s="3" t="s">
        <v>5</v>
      </c>
      <c r="D29" s="3" t="s">
        <v>0</v>
      </c>
      <c r="E29" s="7" t="s">
        <v>1</v>
      </c>
      <c r="F29" s="7" t="s">
        <v>2</v>
      </c>
    </row>
    <row r="30" spans="1:7">
      <c r="B30" s="39" t="s">
        <v>54</v>
      </c>
      <c r="C30" s="4">
        <v>1360</v>
      </c>
      <c r="D30" s="4">
        <v>1800</v>
      </c>
      <c r="E30" s="5">
        <v>3335</v>
      </c>
      <c r="F30" s="4">
        <f>SUM(C30:E30)</f>
        <v>6495</v>
      </c>
    </row>
    <row r="31" spans="1:7">
      <c r="B31" s="39" t="s">
        <v>55</v>
      </c>
      <c r="C31" s="4">
        <f>C30</f>
        <v>1360</v>
      </c>
      <c r="D31" s="6">
        <f>D30+D32</f>
        <v>2351.1999999999998</v>
      </c>
      <c r="E31" s="4">
        <f>8250-C31-D31</f>
        <v>4538.8</v>
      </c>
      <c r="F31" s="4">
        <f>SUM(C31:E31)</f>
        <v>8250</v>
      </c>
    </row>
    <row r="32" spans="1:7">
      <c r="B32" t="s">
        <v>6</v>
      </c>
      <c r="C32" s="4">
        <f>C31-C30</f>
        <v>0</v>
      </c>
      <c r="D32" s="4">
        <f>(C33-C31)*8%</f>
        <v>551.20000000000005</v>
      </c>
      <c r="E32" s="4">
        <f>E31-E30</f>
        <v>1203.8000000000002</v>
      </c>
      <c r="F32" s="4">
        <f>F31-F30</f>
        <v>1755</v>
      </c>
    </row>
    <row r="33" spans="2:6">
      <c r="B33" s="8" t="s">
        <v>7</v>
      </c>
      <c r="C33" s="9">
        <v>8250</v>
      </c>
      <c r="D33" s="37">
        <f>C33-C31</f>
        <v>6890</v>
      </c>
      <c r="E33" s="9">
        <f>D33-D31</f>
        <v>4538.8</v>
      </c>
      <c r="F33" s="4"/>
    </row>
  </sheetData>
  <printOptions horizontalCentered="1" gridLines="1"/>
  <pageMargins left="0.19685039370078741" right="0" top="0.78740157480314965" bottom="0" header="0" footer="0"/>
  <pageSetup paperSize="9" scale="9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130" zoomScaleNormal="130" workbookViewId="0">
      <selection activeCell="B14" sqref="B14"/>
    </sheetView>
  </sheetViews>
  <sheetFormatPr defaultRowHeight="12.75"/>
  <cols>
    <col min="1" max="1" width="15.140625" customWidth="1"/>
    <col min="2" max="2" width="16.28515625" bestFit="1" customWidth="1"/>
    <col min="3" max="3" width="13.85546875" bestFit="1" customWidth="1"/>
    <col min="4" max="4" width="12.42578125" customWidth="1"/>
    <col min="5" max="5" width="11.5703125" customWidth="1"/>
    <col min="6" max="6" width="8.28515625" customWidth="1"/>
    <col min="7" max="7" width="9.140625" customWidth="1"/>
    <col min="8" max="8" width="18.5703125" bestFit="1" customWidth="1"/>
  </cols>
  <sheetData>
    <row r="1" spans="1:8" ht="20.25">
      <c r="A1" s="13" t="s">
        <v>18</v>
      </c>
    </row>
    <row r="2" spans="1:8">
      <c r="H2" s="1" t="s">
        <v>8</v>
      </c>
    </row>
    <row r="3" spans="1:8" ht="15.75">
      <c r="A3" s="12" t="s">
        <v>10</v>
      </c>
    </row>
    <row r="5" spans="1:8">
      <c r="A5" s="11"/>
      <c r="B5" s="11"/>
    </row>
    <row r="6" spans="1:8">
      <c r="A6" s="11"/>
      <c r="B6" s="11"/>
    </row>
    <row r="7" spans="1:8" ht="50.25" customHeight="1">
      <c r="A7" s="14" t="s">
        <v>56</v>
      </c>
      <c r="B7" s="14" t="s">
        <v>16</v>
      </c>
      <c r="C7" s="14" t="s">
        <v>12</v>
      </c>
      <c r="D7" s="14" t="s">
        <v>13</v>
      </c>
      <c r="E7" s="14" t="s">
        <v>14</v>
      </c>
      <c r="F7" s="14" t="s">
        <v>15</v>
      </c>
      <c r="G7" s="14" t="s">
        <v>50</v>
      </c>
      <c r="H7" s="14" t="s">
        <v>49</v>
      </c>
    </row>
    <row r="8" spans="1:8" ht="15.75">
      <c r="A8" s="15">
        <v>1360</v>
      </c>
      <c r="B8" s="38">
        <f>93604.5401087704/100</f>
        <v>936.04540108770391</v>
      </c>
      <c r="C8" s="15">
        <f>B8*1000/A8</f>
        <v>688.26867727037052</v>
      </c>
      <c r="D8" s="38">
        <f>(322.6+25+0.0017)</f>
        <v>347.60170000000005</v>
      </c>
      <c r="E8" s="16">
        <v>0</v>
      </c>
      <c r="F8" s="17">
        <v>0</v>
      </c>
      <c r="G8" s="17">
        <v>0</v>
      </c>
      <c r="H8" s="18">
        <f>C8-((D8/(1-F8/100)+E8))</f>
        <v>340.66697727037047</v>
      </c>
    </row>
    <row r="9" spans="1:8" ht="48.75" customHeight="1">
      <c r="F9" s="2"/>
      <c r="G9" s="2"/>
    </row>
    <row r="10" spans="1:8" ht="15.75">
      <c r="A10" s="12" t="s">
        <v>9</v>
      </c>
    </row>
    <row r="11" spans="1:8">
      <c r="A11" s="11"/>
      <c r="B11" s="11"/>
    </row>
    <row r="12" spans="1:8" s="10" customFormat="1" ht="59.25" customHeight="1">
      <c r="A12" s="14" t="s">
        <v>57</v>
      </c>
      <c r="B12" s="14" t="s">
        <v>17</v>
      </c>
      <c r="C12" s="14" t="s">
        <v>12</v>
      </c>
      <c r="D12" s="14" t="s">
        <v>13</v>
      </c>
      <c r="E12" s="14" t="s">
        <v>14</v>
      </c>
      <c r="F12" s="14" t="s">
        <v>15</v>
      </c>
      <c r="G12" s="14" t="s">
        <v>50</v>
      </c>
      <c r="H12" s="14" t="s">
        <v>49</v>
      </c>
    </row>
    <row r="13" spans="1:8" ht="24.75" customHeight="1">
      <c r="A13" s="15">
        <v>1800</v>
      </c>
      <c r="B13" s="38">
        <f>105289.520211195/100</f>
        <v>1052.8952021119501</v>
      </c>
      <c r="C13" s="15">
        <f>B13*1000/A13</f>
        <v>584.94177895108339</v>
      </c>
      <c r="D13" s="38">
        <f>(322.6+25+0.0017)</f>
        <v>347.60170000000005</v>
      </c>
      <c r="E13" s="18">
        <f>'Wheeling cost'!F27</f>
        <v>106.58107101747206</v>
      </c>
      <c r="F13" s="19">
        <v>8</v>
      </c>
      <c r="G13" s="19">
        <v>0</v>
      </c>
      <c r="H13" s="18">
        <f>C13-((D13/(1-F13/100)+E13))</f>
        <v>100.53277315100263</v>
      </c>
    </row>
    <row r="17" spans="2:5">
      <c r="B17" s="2"/>
      <c r="D17" s="2"/>
      <c r="E17" s="2"/>
    </row>
  </sheetData>
  <printOptions horizontalCentered="1"/>
  <pageMargins left="0.19685039370078741" right="0" top="0.19685039370078741" bottom="0.19685039370078741" header="0" footer="0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Wheeling cost</vt:lpstr>
      <vt:lpstr>Corss -Sub - WESCO </vt:lpstr>
      <vt:lpstr>'Corss -Sub - WESCO '!Print_Area</vt:lpstr>
      <vt:lpstr>'Wheeling cost'!Print_Area</vt:lpstr>
    </vt:vector>
  </TitlesOfParts>
  <Company>WESCO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Kshirod</dc:creator>
  <cp:lastModifiedBy>wesco</cp:lastModifiedBy>
  <cp:lastPrinted>2018-11-29T12:43:14Z</cp:lastPrinted>
  <dcterms:created xsi:type="dcterms:W3CDTF">2006-12-10T06:11:40Z</dcterms:created>
  <dcterms:modified xsi:type="dcterms:W3CDTF">2020-11-28T06:03:53Z</dcterms:modified>
</cp:coreProperties>
</file>